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vrpdc\common\!Projektek\MS-B008 Hírlevél, marketing\Ügyfél rendezvények és levelek 2026\health analytics\"/>
    </mc:Choice>
  </mc:AlternateContent>
  <xr:revisionPtr revIDLastSave="0" documentId="8_{0FADFACC-F16F-4378-BB3B-340E78C75D4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Megyei nézet" sheetId="1" r:id="rId1"/>
  </sheets>
  <definedNames>
    <definedName name="Slicer_Megye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4" i="1" l="1"/>
  <c r="K74" i="1"/>
  <c r="J74" i="1"/>
  <c r="I74" i="1"/>
  <c r="H74" i="1"/>
  <c r="E74" i="1"/>
  <c r="D74" i="1"/>
  <c r="W73" i="1"/>
  <c r="K73" i="1"/>
  <c r="J73" i="1"/>
  <c r="I73" i="1"/>
  <c r="H73" i="1"/>
  <c r="E73" i="1"/>
  <c r="D73" i="1"/>
  <c r="W72" i="1"/>
  <c r="K72" i="1"/>
  <c r="J72" i="1"/>
  <c r="I72" i="1"/>
  <c r="H72" i="1"/>
  <c r="E72" i="1"/>
  <c r="D72" i="1"/>
  <c r="W71" i="1"/>
  <c r="K71" i="1"/>
  <c r="J71" i="1"/>
  <c r="I71" i="1"/>
  <c r="H71" i="1"/>
  <c r="E71" i="1"/>
  <c r="D71" i="1"/>
  <c r="W70" i="1"/>
  <c r="K70" i="1"/>
  <c r="J70" i="1"/>
  <c r="I70" i="1"/>
  <c r="H70" i="1"/>
  <c r="E70" i="1"/>
  <c r="D70" i="1"/>
  <c r="W69" i="1"/>
  <c r="K69" i="1"/>
  <c r="J69" i="1"/>
  <c r="I69" i="1"/>
  <c r="H69" i="1"/>
  <c r="E69" i="1"/>
  <c r="D69" i="1"/>
  <c r="W68" i="1"/>
  <c r="K68" i="1"/>
  <c r="J68" i="1"/>
  <c r="I68" i="1"/>
  <c r="H68" i="1"/>
  <c r="E68" i="1"/>
  <c r="D68" i="1"/>
  <c r="W67" i="1"/>
  <c r="K67" i="1"/>
  <c r="J67" i="1"/>
  <c r="I67" i="1"/>
  <c r="H67" i="1"/>
  <c r="E67" i="1"/>
  <c r="D67" i="1"/>
  <c r="W66" i="1"/>
  <c r="K66" i="1"/>
  <c r="J66" i="1"/>
  <c r="I66" i="1"/>
  <c r="H66" i="1"/>
  <c r="E66" i="1"/>
  <c r="D66" i="1"/>
  <c r="W65" i="1"/>
  <c r="K65" i="1"/>
  <c r="J65" i="1"/>
  <c r="I65" i="1"/>
  <c r="H65" i="1"/>
  <c r="E65" i="1"/>
  <c r="D65" i="1"/>
  <c r="W64" i="1"/>
  <c r="K64" i="1"/>
  <c r="J64" i="1"/>
  <c r="I64" i="1"/>
  <c r="H64" i="1"/>
  <c r="E64" i="1"/>
  <c r="D64" i="1"/>
  <c r="W63" i="1"/>
  <c r="K63" i="1"/>
  <c r="J63" i="1"/>
  <c r="I63" i="1"/>
  <c r="H63" i="1"/>
  <c r="E63" i="1"/>
  <c r="D63" i="1"/>
  <c r="W62" i="1"/>
  <c r="K62" i="1"/>
  <c r="J62" i="1"/>
  <c r="I62" i="1"/>
  <c r="H62" i="1"/>
  <c r="E62" i="1"/>
  <c r="D62" i="1"/>
  <c r="W61" i="1"/>
  <c r="K61" i="1"/>
  <c r="J61" i="1"/>
  <c r="I61" i="1"/>
  <c r="H61" i="1"/>
  <c r="E61" i="1"/>
  <c r="D61" i="1"/>
  <c r="W60" i="1"/>
  <c r="K60" i="1"/>
  <c r="J60" i="1"/>
  <c r="I60" i="1"/>
  <c r="H60" i="1"/>
  <c r="E60" i="1"/>
  <c r="D60" i="1"/>
  <c r="W59" i="1"/>
  <c r="K59" i="1"/>
  <c r="J59" i="1"/>
  <c r="I59" i="1"/>
  <c r="H59" i="1"/>
  <c r="E59" i="1"/>
  <c r="D59" i="1"/>
  <c r="W58" i="1"/>
  <c r="K58" i="1"/>
  <c r="J58" i="1"/>
  <c r="I58" i="1"/>
  <c r="H58" i="1"/>
  <c r="E58" i="1"/>
  <c r="D58" i="1"/>
  <c r="W57" i="1"/>
  <c r="K57" i="1"/>
  <c r="J57" i="1"/>
  <c r="I57" i="1"/>
  <c r="H57" i="1"/>
  <c r="E57" i="1"/>
  <c r="D57" i="1"/>
  <c r="W56" i="1"/>
  <c r="K56" i="1"/>
  <c r="J56" i="1"/>
  <c r="I56" i="1"/>
  <c r="H56" i="1"/>
  <c r="E56" i="1"/>
  <c r="D56" i="1"/>
  <c r="W55" i="1"/>
  <c r="K55" i="1"/>
  <c r="J55" i="1"/>
  <c r="I55" i="1"/>
  <c r="H55" i="1"/>
  <c r="E55" i="1"/>
  <c r="D55" i="1"/>
  <c r="G31" i="1"/>
  <c r="F31" i="1"/>
  <c r="G30" i="1"/>
  <c r="F30" i="1"/>
  <c r="G29" i="1"/>
  <c r="F29" i="1"/>
  <c r="G28" i="1"/>
  <c r="F28" i="1"/>
  <c r="G24" i="1"/>
  <c r="F24" i="1"/>
  <c r="G23" i="1"/>
  <c r="F23" i="1"/>
  <c r="G22" i="1"/>
  <c r="F22" i="1"/>
  <c r="G21" i="1"/>
  <c r="F21" i="1"/>
  <c r="G20" i="1"/>
  <c r="F20" i="1"/>
  <c r="I12" i="1"/>
  <c r="H12" i="1"/>
  <c r="I11" i="1"/>
  <c r="H11" i="1"/>
  <c r="I10" i="1"/>
  <c r="H10" i="1"/>
  <c r="I9" i="1"/>
  <c r="H9" i="1"/>
  <c r="L5" i="1"/>
  <c r="Q3" i="1"/>
  <c r="P3" i="1"/>
  <c r="O3" i="1"/>
  <c r="N3" i="1"/>
  <c r="J10" i="1" l="1"/>
  <c r="I14" i="1"/>
  <c r="J12" i="1"/>
  <c r="F73" i="1"/>
  <c r="L73" i="1"/>
  <c r="F70" i="1"/>
  <c r="L70" i="1"/>
  <c r="F67" i="1"/>
  <c r="L67" i="1"/>
  <c r="F64" i="1"/>
  <c r="L64" i="1"/>
  <c r="F61" i="1"/>
  <c r="L61" i="1"/>
  <c r="F58" i="1"/>
  <c r="L58" i="1"/>
  <c r="F55" i="1"/>
  <c r="L55" i="1"/>
  <c r="L74" i="1"/>
  <c r="F74" i="1"/>
  <c r="L72" i="1"/>
  <c r="F72" i="1"/>
  <c r="L71" i="1"/>
  <c r="F71" i="1"/>
  <c r="F69" i="1"/>
  <c r="L69" i="1"/>
  <c r="F68" i="1"/>
  <c r="L68" i="1"/>
  <c r="L66" i="1"/>
  <c r="F66" i="1"/>
  <c r="L65" i="1"/>
  <c r="F65" i="1"/>
  <c r="F63" i="1"/>
  <c r="L63" i="1"/>
  <c r="F62" i="1"/>
  <c r="L62" i="1"/>
  <c r="F60" i="1"/>
  <c r="L60" i="1"/>
  <c r="L59" i="1"/>
  <c r="F59" i="1"/>
  <c r="L57" i="1"/>
  <c r="F57" i="1"/>
  <c r="L56" i="1"/>
  <c r="F56" i="1"/>
  <c r="H14" i="1"/>
  <c r="J11" i="1"/>
  <c r="H8" i="1"/>
  <c r="G65" i="1"/>
  <c r="G62" i="1"/>
  <c r="G67" i="1"/>
  <c r="G66" i="1"/>
  <c r="I13" i="1"/>
  <c r="G61" i="1"/>
  <c r="G68" i="1"/>
  <c r="G69" i="1"/>
  <c r="G60" i="1"/>
  <c r="G70" i="1"/>
  <c r="G71" i="1"/>
  <c r="G59" i="1"/>
  <c r="H13" i="1"/>
  <c r="G58" i="1"/>
  <c r="G72" i="1"/>
  <c r="G73" i="1"/>
  <c r="G74" i="1"/>
  <c r="G56" i="1"/>
  <c r="G64" i="1"/>
  <c r="G55" i="1"/>
  <c r="G63" i="1"/>
  <c r="G57" i="1"/>
  <c r="H15" i="1" l="1"/>
  <c r="M56" i="1"/>
  <c r="M64" i="1"/>
  <c r="F19" i="1"/>
  <c r="F27" i="1"/>
  <c r="M69" i="1"/>
  <c r="M72" i="1"/>
  <c r="M55" i="1"/>
  <c r="M61" i="1"/>
  <c r="M65" i="1"/>
  <c r="M74" i="1"/>
  <c r="M62" i="1"/>
  <c r="M67" i="1"/>
  <c r="M66" i="1"/>
  <c r="M68" i="1"/>
  <c r="M70" i="1"/>
  <c r="M60" i="1"/>
  <c r="M71" i="1"/>
  <c r="M59" i="1"/>
  <c r="M57" i="1"/>
  <c r="M58" i="1"/>
  <c r="M73" i="1"/>
  <c r="M63" i="1"/>
  <c r="H16" i="1" l="1"/>
</calcChain>
</file>

<file path=xl/sharedStrings.xml><?xml version="1.0" encoding="utf-8"?>
<sst xmlns="http://schemas.openxmlformats.org/spreadsheetml/2006/main" count="76" uniqueCount="72">
  <si>
    <t>DOAC terápián maradás megyénként</t>
  </si>
  <si>
    <t>Országos 12 hónapos arány induló szeren (csak a szermix-igazítás bemenete; hatóanyagok közti összevetésre nem alkalmas)</t>
  </si>
  <si>
    <t>Válassz megyét a szeletelőn! Ctrl-lal több megye is kijelölhető: ekkor együtt, egy régióként látod őket.</t>
  </si>
  <si>
    <t>Fő mutatók</t>
  </si>
  <si>
    <t>Mutató</t>
  </si>
  <si>
    <t>Ország</t>
  </si>
  <si>
    <t>Különbség</t>
  </si>
  <si>
    <t>Naiv DOAC-indítók (fő)</t>
  </si>
  <si>
    <t>Terápián 3 hónapnál</t>
  </si>
  <si>
    <t>Terápián 12 hónapnál</t>
  </si>
  <si>
    <t>A 3 hónapnál terápián lévők közül 12 hónapnál</t>
  </si>
  <si>
    <t>Eltérés a felírt szerek alapján várt aránytól</t>
  </si>
  <si>
    <t>95% CI a 12 hónapos arányra</t>
  </si>
  <si>
    <t>Hely a 20 megye között: 12 hónap (1 = legjobb)</t>
  </si>
  <si>
    <t>Hely a 20 megye között: eltérés a várttól (1 = legjobb)</t>
  </si>
  <si>
    <t>Terápián maradás az indítás után</t>
  </si>
  <si>
    <t>Hónap</t>
  </si>
  <si>
    <t>Indítás</t>
  </si>
  <si>
    <t>3 hó</t>
  </si>
  <si>
    <t>6 hó</t>
  </si>
  <si>
    <t>9 hó</t>
  </si>
  <si>
    <t>12 hó</t>
  </si>
  <si>
    <t>Melyik szerrel indítanak?</t>
  </si>
  <si>
    <t>Hatóanyag</t>
  </si>
  <si>
    <t>Apixaban</t>
  </si>
  <si>
    <t>Dabigatran</t>
  </si>
  <si>
    <t>Edoxaban</t>
  </si>
  <si>
    <t>Rivaroxaban</t>
  </si>
  <si>
    <t>Megyei adatok (a szeletelő ezt a táblát szűri; a fejléc nyilaival rendezhető)</t>
  </si>
  <si>
    <t>Megye</t>
  </si>
  <si>
    <t>Indítók</t>
  </si>
  <si>
    <t>95% CI (±)</t>
  </si>
  <si>
    <t>Eltérés a várttól</t>
  </si>
  <si>
    <t>Apixaban arány</t>
  </si>
  <si>
    <t>Dabigatran arány</t>
  </si>
  <si>
    <t>Edoxaban arány</t>
  </si>
  <si>
    <t>Rivaroxaban arány</t>
  </si>
  <si>
    <t>Hely: 12 hónap</t>
  </si>
  <si>
    <t>Hely: eltérés</t>
  </si>
  <si>
    <t>n90</t>
  </si>
  <si>
    <t>n180</t>
  </si>
  <si>
    <t>n270</t>
  </si>
  <si>
    <t>n360</t>
  </si>
  <si>
    <t>i_apixaban</t>
  </si>
  <si>
    <t>i_dabigatran</t>
  </si>
  <si>
    <t>i_edoxaban</t>
  </si>
  <si>
    <t>i_rivaroxaban</t>
  </si>
  <si>
    <t>n360_induló</t>
  </si>
  <si>
    <t>Látható</t>
  </si>
  <si>
    <t>Baranya</t>
  </si>
  <si>
    <t>Bács-Kiskun</t>
  </si>
  <si>
    <t>Békés</t>
  </si>
  <si>
    <t>Borsod-Abaúj-Zemplén</t>
  </si>
  <si>
    <t>Csongrád-Csanád</t>
  </si>
  <si>
    <t>Fejér</t>
  </si>
  <si>
    <t>Győr-Moson-Sopron</t>
  </si>
  <si>
    <t>Hajdú-Bihar</t>
  </si>
  <si>
    <t>Heves</t>
  </si>
  <si>
    <t>Komárom-Esztergom</t>
  </si>
  <si>
    <t>Nógrád</t>
  </si>
  <si>
    <t>Pest</t>
  </si>
  <si>
    <t>Somogy</t>
  </si>
  <si>
    <t>Szabolcs-Szatmár-Bereg</t>
  </si>
  <si>
    <t>Jász-Nagykun-Szolnok</t>
  </si>
  <si>
    <t>Tolna</t>
  </si>
  <si>
    <t>Vas</t>
  </si>
  <si>
    <t>Veszprém</t>
  </si>
  <si>
    <t>Zala</t>
  </si>
  <si>
    <t>Budapest</t>
  </si>
  <si>
    <t>Hogyan olvasd: a „Terápián 12 hónapnál” azt mutatja, az indítók hány százaléka szed még (bármely) DOAC-ot egy év múlva. Az „Eltérés a várttól” azt, hogy a megye mennyivel jobb vagy rosszabb annál, amit a felírt szerek összetétele alapján várnánk (az induló szeren maradók arányán, az országos hatóanyagonkénti arányokkal súlyozva).</t>
  </si>
  <si>
    <t>A megye a kiváltó gyógyszertár megyéje, nem a beteg lakóhelye. Ahol két megye 95%-os intervalluma átfed, a sorrendjük nem biztos. A megyék közti különbség szignifikáns (χ² = 199, df = 19, p &lt; 0,001).</t>
  </si>
  <si>
    <t>Forrás: MedicalScan Kft., WalletScan Combo, vényköteles kiváltások. Naiv DOAC-indítók, index 2024.07.01–2025.03.31, 12 hónapos követés, 60 napos türelmi idő.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</si>
</sst>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&quot;±&quot;0.0%"/>
    <numFmt numFmtId="166" formatCode="\+0.0&quot; pp&quot;;\-0.0&quot; pp&quot;;0.0&quot; pp&quot;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charset val="238"/>
      <scheme val="minor"/>
    </font>
    <font>
      <b/>
      <sz val="16"/>
      <name val="Century Gothic"/>
      <family val="2"/>
      <charset val="238"/>
      <scheme val="minor"/>
    </font>
    <font>
      <i/>
      <sz val="9"/>
      <color rgb="FF52514E"/>
      <name val="Century Gothic"/>
      <family val="2"/>
      <charset val="238"/>
      <scheme val="minor"/>
    </font>
    <font>
      <b/>
      <sz val="10"/>
      <color rgb="FF1C5CAB"/>
      <name val="Century Gothic"/>
      <family val="2"/>
      <charset val="238"/>
      <scheme val="minor"/>
    </font>
    <font>
      <sz val="8"/>
      <color rgb="FFFFFFFF"/>
      <name val="Century Gothic"/>
      <family val="2"/>
      <charset val="238"/>
      <scheme val="minor"/>
    </font>
    <font>
      <b/>
      <sz val="12"/>
      <name val="Century Gothic"/>
      <family val="2"/>
      <charset val="238"/>
      <scheme val="minor"/>
    </font>
    <font>
      <b/>
      <sz val="10"/>
      <color rgb="FFFFFFFF"/>
      <name val="Century Gothic"/>
      <family val="2"/>
      <charset val="238"/>
      <scheme val="minor"/>
    </font>
    <font>
      <sz val="10"/>
      <name val="Century Gothic"/>
      <family val="2"/>
      <charset val="238"/>
      <scheme val="minor"/>
    </font>
    <font>
      <b/>
      <sz val="10"/>
      <name val="Century Gothic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5CAB"/>
      </patternFill>
    </fill>
  </fills>
  <borders count="2">
    <border>
      <left/>
      <right/>
      <top/>
      <bottom/>
      <diagonal/>
    </border>
    <border>
      <left style="thin">
        <color rgb="FFE1E0D9"/>
      </left>
      <right style="thin">
        <color rgb="FFE1E0D9"/>
      </right>
      <top style="thin">
        <color rgb="FFE1E0D9"/>
      </top>
      <bottom style="thin">
        <color rgb="FFE1E0D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3" fontId="9" fillId="0" borderId="1" xfId="0" applyNumberFormat="1" applyFont="1" applyBorder="1" applyAlignment="1">
      <alignment horizontal="right"/>
    </xf>
    <xf numFmtId="3" fontId="8" fillId="0" borderId="1" xfId="0" applyNumberFormat="1" applyFont="1" applyBorder="1"/>
    <xf numFmtId="0" fontId="1" fillId="0" borderId="1" xfId="0" applyFont="1" applyBorder="1"/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6" fontId="8" fillId="0" borderId="1" xfId="0" applyNumberFormat="1" applyFont="1" applyBorder="1"/>
    <xf numFmtId="166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5" fontId="8" fillId="0" borderId="1" xfId="0" applyNumberFormat="1" applyFont="1" applyBorder="1"/>
    <xf numFmtId="1" fontId="9" fillId="0" borderId="1" xfId="0" applyNumberFormat="1" applyFont="1" applyBorder="1" applyAlignment="1">
      <alignment horizontal="right"/>
    </xf>
    <xf numFmtId="1" fontId="8" fillId="0" borderId="1" xfId="0" applyNumberFormat="1" applyFont="1" applyBorder="1"/>
    <xf numFmtId="0" fontId="8" fillId="0" borderId="1" xfId="0" applyFont="1" applyBorder="1"/>
    <xf numFmtId="1" fontId="8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/>
  </cellXfs>
  <cellStyles count="1">
    <cellStyle name="Normál" xfId="0" builtinId="0"/>
  </cellStyles>
  <dxfs count="25"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name val="Century Gothic"/>
        <family val="2"/>
        <charset val="238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u-HU"/>
              <a:t>Terápián maradás (bármely DOAC)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'Megyei nézet'!$F$19</c:f>
              <c:strCache>
                <c:ptCount val="1"/>
                <c:pt idx="0">
                  <c:v>Mind a 20 megye</c:v>
                </c:pt>
              </c:strCache>
            </c:strRef>
          </c:tx>
          <c:spPr>
            <a:ln w="28575">
              <a:solidFill>
                <a:srgbClr val="2A78D6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2A78D6"/>
              </a:solidFill>
              <a:ln>
                <a:solidFill>
                  <a:srgbClr val="2A78D6"/>
                </a:solidFill>
                <a:prstDash val="solid"/>
              </a:ln>
            </c:spPr>
          </c:marker>
          <c:cat>
            <c:strRef>
              <c:f>'Megyei nézet'!$E$20:$E$24</c:f>
              <c:strCache>
                <c:ptCount val="5"/>
                <c:pt idx="0">
                  <c:v>Indítás</c:v>
                </c:pt>
                <c:pt idx="1">
                  <c:v>3 hó</c:v>
                </c:pt>
                <c:pt idx="2">
                  <c:v>6 hó</c:v>
                </c:pt>
                <c:pt idx="3">
                  <c:v>9 hó</c:v>
                </c:pt>
                <c:pt idx="4">
                  <c:v>12 hó</c:v>
                </c:pt>
              </c:strCache>
            </c:strRef>
          </c:cat>
          <c:val>
            <c:numRef>
              <c:f>'Megyei nézet'!$F$20:$F$24</c:f>
              <c:numCache>
                <c:formatCode>0.0%</c:formatCode>
                <c:ptCount val="5"/>
                <c:pt idx="0">
                  <c:v>1</c:v>
                </c:pt>
                <c:pt idx="1">
                  <c:v>0.73056366324248512</c:v>
                </c:pt>
                <c:pt idx="2">
                  <c:v>0.62740229710776696</c:v>
                </c:pt>
                <c:pt idx="3">
                  <c:v>0.56400439710397632</c:v>
                </c:pt>
                <c:pt idx="4">
                  <c:v>0.51774004018043285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55-497D-BFBC-AFD55DE708C6}"/>
            </c:ext>
          </c:extLst>
        </c:ser>
        <c:ser>
          <c:idx val="1"/>
          <c:order val="1"/>
          <c:tx>
            <c:strRef>
              <c:f>'Megyei nézet'!$G$19</c:f>
              <c:strCache>
                <c:ptCount val="1"/>
                <c:pt idx="0">
                  <c:v>Ország</c:v>
                </c:pt>
              </c:strCache>
            </c:strRef>
          </c:tx>
          <c:spPr>
            <a:ln w="28575">
              <a:solidFill>
                <a:srgbClr val="A9A8A2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A9A8A2"/>
              </a:solidFill>
              <a:ln>
                <a:solidFill>
                  <a:srgbClr val="A9A8A2"/>
                </a:solidFill>
                <a:prstDash val="solid"/>
              </a:ln>
            </c:spPr>
          </c:marker>
          <c:cat>
            <c:strRef>
              <c:f>'Megyei nézet'!$E$20:$E$24</c:f>
              <c:strCache>
                <c:ptCount val="5"/>
                <c:pt idx="0">
                  <c:v>Indítás</c:v>
                </c:pt>
                <c:pt idx="1">
                  <c:v>3 hó</c:v>
                </c:pt>
                <c:pt idx="2">
                  <c:v>6 hó</c:v>
                </c:pt>
                <c:pt idx="3">
                  <c:v>9 hó</c:v>
                </c:pt>
                <c:pt idx="4">
                  <c:v>12 hó</c:v>
                </c:pt>
              </c:strCache>
            </c:strRef>
          </c:cat>
          <c:val>
            <c:numRef>
              <c:f>'Megyei nézet'!$G$20:$G$24</c:f>
              <c:numCache>
                <c:formatCode>0.0%</c:formatCode>
                <c:ptCount val="5"/>
                <c:pt idx="0">
                  <c:v>1</c:v>
                </c:pt>
                <c:pt idx="1">
                  <c:v>0.73056366324248512</c:v>
                </c:pt>
                <c:pt idx="2">
                  <c:v>0.62740229710776696</c:v>
                </c:pt>
                <c:pt idx="3">
                  <c:v>0.56400439710397632</c:v>
                </c:pt>
                <c:pt idx="4">
                  <c:v>0.51774004018043285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55-497D-BFBC-AFD55DE70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.4"/>
        </c:scaling>
        <c:delete val="0"/>
        <c:axPos val="l"/>
        <c:majorGridlines>
          <c:spPr>
            <a:ln>
              <a:solidFill>
                <a:srgbClr val="E1E0D9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u-HU"/>
              <a:t>Melyik szerrel indítanak?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7243271604938271"/>
          <c:y val="0.22071388888888888"/>
          <c:w val="0.53263271604938267"/>
          <c:h val="0.7307791666666666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'Megyei nézet'!$F$27</c:f>
              <c:strCache>
                <c:ptCount val="1"/>
                <c:pt idx="0">
                  <c:v>Mind a 20 megye</c:v>
                </c:pt>
              </c:strCache>
            </c:strRef>
          </c:tx>
          <c:spPr>
            <a:solidFill>
              <a:srgbClr val="2A78D6"/>
            </a:solidFill>
            <a:ln>
              <a:noFill/>
              <a:prstDash val="solid"/>
            </a:ln>
          </c:spPr>
          <c:invertIfNegative val="1"/>
          <c:cat>
            <c:strRef>
              <c:f>'Megyei nézet'!$E$28:$E$31</c:f>
              <c:strCache>
                <c:ptCount val="4"/>
                <c:pt idx="0">
                  <c:v>Apixaban</c:v>
                </c:pt>
                <c:pt idx="1">
                  <c:v>Dabigatran</c:v>
                </c:pt>
                <c:pt idx="2">
                  <c:v>Edoxaban</c:v>
                </c:pt>
                <c:pt idx="3">
                  <c:v>Rivaroxaban</c:v>
                </c:pt>
              </c:strCache>
            </c:strRef>
          </c:cat>
          <c:val>
            <c:numRef>
              <c:f>'Megyei nézet'!$F$28:$F$31</c:f>
              <c:numCache>
                <c:formatCode>0.0%</c:formatCode>
                <c:ptCount val="4"/>
                <c:pt idx="0">
                  <c:v>0.51756946287100569</c:v>
                </c:pt>
                <c:pt idx="1">
                  <c:v>0.17944732951745573</c:v>
                </c:pt>
                <c:pt idx="2">
                  <c:v>4.9012546908760092E-2</c:v>
                </c:pt>
                <c:pt idx="3">
                  <c:v>0.25397066070277852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44B-43BA-B574-2BA4C33202F3}"/>
            </c:ext>
          </c:extLst>
        </c:ser>
        <c:ser>
          <c:idx val="1"/>
          <c:order val="1"/>
          <c:tx>
            <c:strRef>
              <c:f>'Megyei nézet'!$G$27</c:f>
              <c:strCache>
                <c:ptCount val="1"/>
                <c:pt idx="0">
                  <c:v>Ország</c:v>
                </c:pt>
              </c:strCache>
            </c:strRef>
          </c:tx>
          <c:spPr>
            <a:solidFill>
              <a:srgbClr val="A9A8A2"/>
            </a:solidFill>
            <a:ln>
              <a:noFill/>
              <a:prstDash val="solid"/>
            </a:ln>
          </c:spPr>
          <c:invertIfNegative val="1"/>
          <c:cat>
            <c:strRef>
              <c:f>'Megyei nézet'!$E$28:$E$31</c:f>
              <c:strCache>
                <c:ptCount val="4"/>
                <c:pt idx="0">
                  <c:v>Apixaban</c:v>
                </c:pt>
                <c:pt idx="1">
                  <c:v>Dabigatran</c:v>
                </c:pt>
                <c:pt idx="2">
                  <c:v>Edoxaban</c:v>
                </c:pt>
                <c:pt idx="3">
                  <c:v>Rivaroxaban</c:v>
                </c:pt>
              </c:strCache>
            </c:strRef>
          </c:cat>
          <c:val>
            <c:numRef>
              <c:f>'Megyei nézet'!$G$28:$G$31</c:f>
              <c:numCache>
                <c:formatCode>0.0%</c:formatCode>
                <c:ptCount val="4"/>
                <c:pt idx="0">
                  <c:v>0.51756946287100569</c:v>
                </c:pt>
                <c:pt idx="1">
                  <c:v>0.17944732951745573</c:v>
                </c:pt>
                <c:pt idx="2">
                  <c:v>4.9012546908760092E-2</c:v>
                </c:pt>
                <c:pt idx="3">
                  <c:v>0.25397066070277852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44B-43BA-B574-2BA4C3320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t"/>
        <c:majorGridlines>
          <c:spPr>
            <a:ln>
              <a:solidFill>
                <a:srgbClr val="E1E0D9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534162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274320</xdr:colOff>
      <xdr:row>33</xdr:row>
      <xdr:rowOff>0</xdr:rowOff>
    </xdr:from>
    <xdr:ext cx="549246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</xdr:col>
      <xdr:colOff>0</xdr:colOff>
      <xdr:row>6</xdr:row>
      <xdr:rowOff>0</xdr:rowOff>
    </xdr:from>
    <xdr:to>
      <xdr:col>2</xdr:col>
      <xdr:colOff>579120</xdr:colOff>
      <xdr:row>31</xdr:row>
      <xdr:rowOff>91440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0" name="Megye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gye"/>
            </a:graphicData>
          </a:graphic>
        </xdr:graphicFrame>
      </mc:Choice>
      <mc:Fallback xmlns="http://schemas.openxmlformats.org/drawingml/2006/spreadsheetDrawing">
        <sp macro="" textlink="">
          <nvSpPr>
            <cNvPr id="0" name=""/>
            <cNvSpPr>
              <a:spLocks xmlns:a="http://schemas.openxmlformats.org/drawingml/2006/main" noTextEdit="1"/>
            </cNvSpPr>
          </nvSpPr>
          <spPr>
            <a:xfrm xmlns:a="http://schemas.openxmlformats.org/drawingml/2006/main">
              <a:off x="914400" y="952500"/>
              <a:ext cx="2286000" cy="4953000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prstClr val="white"/>
            </a:solidFill>
            <a:ln xmlns:a="http://schemas.openxmlformats.org/drawingml/2006/main" w="1">
              <a:solidFill>
                <a:prstClr val="green"/>
              </a:solidFill>
            </a:ln>
          </spPr>
          <txBody>
            <a:bodyPr xmlns:a="http://schemas.openxmlformats.org/drawingml/2006/main" vertOverflow="clip" horzOverflow="clip"/>
            <a:lstStyle xmlns:a="http://schemas.openxmlformats.org/drawingml/2006/main"/>
            <a:p xmlns:a="http://schemas.openxmlformats.org/drawingml/2006/main">
              <a:r>
                <a:rPr lang="hu-HU" sz="1100"/>
                <a:t>Ez az alakzat egy táblázatszeletelőt jelöl. A használatához Excel 2013 vagy újabb verzió szükséges.</a:t>
              </a:r>
            </a:p>
          </txBody>
        </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Megye" xr10:uid="{00000000-0013-0000-FFFF-FFFF01000000}" sourceName="Megye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gye" xr10:uid="{00000000-0014-0000-FFFF-FFFF01000000}" cache="Slicer_Megye" caption="Válassz megyét" rowHeight="225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egyek" displayName="Megyek" ref="B54:W74" headerRowDxfId="2" dataDxfId="0" totalsRowDxfId="1">
  <autoFilter ref="B54:W74" xr:uid="{00000000-0009-0000-0100-000001000000}"/>
  <tableColumns count="22">
    <tableColumn id="1" xr3:uid="{00000000-0010-0000-0000-000001000000}" name="Megye" dataDxfId="24"/>
    <tableColumn id="2" xr3:uid="{00000000-0010-0000-0000-000002000000}" name="Indítók" dataDxfId="23"/>
    <tableColumn id="3" xr3:uid="{00000000-0010-0000-0000-000003000000}" name="Terápián 3 hónapnál" dataDxfId="22"/>
    <tableColumn id="4" xr3:uid="{00000000-0010-0000-0000-000004000000}" name="Terápián 12 hónapnál" dataDxfId="21"/>
    <tableColumn id="5" xr3:uid="{00000000-0010-0000-0000-000005000000}" name="95% CI (±)" dataDxfId="20"/>
    <tableColumn id="6" xr3:uid="{00000000-0010-0000-0000-000006000000}" name="Eltérés a várttól" dataDxfId="19"/>
    <tableColumn id="7" xr3:uid="{00000000-0010-0000-0000-000007000000}" name="Apixaban arány" dataDxfId="18"/>
    <tableColumn id="8" xr3:uid="{00000000-0010-0000-0000-000008000000}" name="Dabigatran arány" dataDxfId="17"/>
    <tableColumn id="9" xr3:uid="{00000000-0010-0000-0000-000009000000}" name="Edoxaban arány" dataDxfId="16"/>
    <tableColumn id="10" xr3:uid="{00000000-0010-0000-0000-00000A000000}" name="Rivaroxaban arány" dataDxfId="15"/>
    <tableColumn id="11" xr3:uid="{00000000-0010-0000-0000-00000B000000}" name="Hely: 12 hónap" dataDxfId="14"/>
    <tableColumn id="12" xr3:uid="{00000000-0010-0000-0000-00000C000000}" name="Hely: eltérés" dataDxfId="13"/>
    <tableColumn id="13" xr3:uid="{00000000-0010-0000-0000-00000D000000}" name="n90" dataDxfId="12"/>
    <tableColumn id="14" xr3:uid="{00000000-0010-0000-0000-00000E000000}" name="n180" dataDxfId="11"/>
    <tableColumn id="15" xr3:uid="{00000000-0010-0000-0000-00000F000000}" name="n270" dataDxfId="10"/>
    <tableColumn id="16" xr3:uid="{00000000-0010-0000-0000-000010000000}" name="n360" dataDxfId="9"/>
    <tableColumn id="17" xr3:uid="{00000000-0010-0000-0000-000011000000}" name="i_apixaban" dataDxfId="8"/>
    <tableColumn id="18" xr3:uid="{00000000-0010-0000-0000-000012000000}" name="i_dabigatran" dataDxfId="7"/>
    <tableColumn id="19" xr3:uid="{00000000-0010-0000-0000-000013000000}" name="i_edoxaban" dataDxfId="6"/>
    <tableColumn id="20" xr3:uid="{00000000-0010-0000-0000-000014000000}" name="i_rivaroxaban" dataDxfId="5"/>
    <tableColumn id="21" xr3:uid="{00000000-0010-0000-0000-000015000000}" name="n360_induló" dataDxfId="4"/>
    <tableColumn id="22" xr3:uid="{00000000-0010-0000-0000-000016000000}" name="Látható" dataDxfId="3"/>
  </tableColumns>
  <tableStyleInfo name="TableStyleLight1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zappan">
  <a:themeElements>
    <a:clrScheme name="Szappan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Szappan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Szappa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5000"/>
                <a:lumMod val="105000"/>
              </a:schemeClr>
            </a:gs>
            <a:gs pos="100000">
              <a:schemeClr val="phClr">
                <a:tint val="65000"/>
                <a:satMod val="100000"/>
                <a:lumMod val="10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0000"/>
                <a:lumMod val="100000"/>
              </a:schemeClr>
            </a:gs>
            <a:gs pos="50000">
              <a:schemeClr val="phClr">
                <a:shade val="99000"/>
                <a:satMod val="105000"/>
                <a:lumMod val="100000"/>
              </a:schemeClr>
            </a:gs>
            <a:gs pos="100000">
              <a:schemeClr val="phClr">
                <a:shade val="98000"/>
                <a:satMod val="105000"/>
                <a:lumMod val="10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12700" dir="5400000" algn="ctr" rotWithShape="0">
              <a:srgbClr val="000000">
                <a:alpha val="63000"/>
              </a:srgbClr>
            </a:outerShdw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4200000"/>
            </a:lightRig>
          </a:scene3d>
          <a:sp3d prstMaterial="flat">
            <a:bevelT w="50800" h="635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2000"/>
                <a:satMod val="160000"/>
              </a:schemeClr>
            </a:gs>
            <a:gs pos="77000">
              <a:schemeClr val="phClr">
                <a:tint val="100000"/>
                <a:shade val="73000"/>
                <a:satMod val="155000"/>
              </a:schemeClr>
            </a:gs>
            <a:gs pos="100000">
              <a:schemeClr val="phClr">
                <a:tint val="100000"/>
                <a:shade val="67000"/>
                <a:satMod val="145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2000"/>
                <a:satMod val="115000"/>
              </a:schemeClr>
            </a:duotone>
          </a:blip>
          <a:tile tx="0" ty="0" sx="60000" sy="6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avon" id="{1306E473-ED32-493B-A2D0-240A757EDD34}" vid="{C20BADFE-D095-436F-9677-9264042809F0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C5CAB"/>
  </sheetPr>
  <dimension ref="B2:W79"/>
  <sheetViews>
    <sheetView showGridLines="0" tabSelected="1" workbookViewId="0"/>
  </sheetViews>
  <sheetFormatPr defaultRowHeight="13.8" x14ac:dyDescent="0.25"/>
  <cols>
    <col min="1" max="1" width="1.796875" style="2" customWidth="1"/>
    <col min="2" max="2" width="23.8984375" style="2" customWidth="1"/>
    <col min="3" max="3" width="10.8984375" style="2" customWidth="1"/>
    <col min="4" max="5" width="11.8984375" style="2" customWidth="1"/>
    <col min="6" max="6" width="23.3984375" style="2" customWidth="1"/>
    <col min="7" max="7" width="11.8984375" style="2" customWidth="1"/>
    <col min="8" max="8" width="13.8984375" style="2" customWidth="1"/>
    <col min="9" max="11" width="11.8984375" style="2" customWidth="1"/>
    <col min="12" max="13" width="10.8984375" style="2" customWidth="1"/>
    <col min="14" max="23" width="12.8984375" style="2" hidden="1" customWidth="1"/>
    <col min="24" max="16384" width="8.796875" style="2"/>
  </cols>
  <sheetData>
    <row r="2" spans="2:17" ht="20.399999999999999" x14ac:dyDescent="0.35">
      <c r="B2" s="1" t="s">
        <v>0</v>
      </c>
      <c r="N2" s="2" t="s">
        <v>1</v>
      </c>
    </row>
    <row r="3" spans="2:17" x14ac:dyDescent="0.25">
      <c r="B3" s="3" t="s">
        <v>71</v>
      </c>
      <c r="N3" s="4">
        <f>15605/27308</f>
        <v>0.57144426541672766</v>
      </c>
      <c r="O3" s="4">
        <f>5012/9468</f>
        <v>0.52936206168145328</v>
      </c>
      <c r="P3" s="4">
        <f>1440/2586</f>
        <v>0.55684454756380508</v>
      </c>
      <c r="Q3" s="4">
        <f>4070/13400</f>
        <v>0.30373134328358209</v>
      </c>
    </row>
    <row r="5" spans="2:17" x14ac:dyDescent="0.25">
      <c r="B5" s="5" t="s">
        <v>2</v>
      </c>
      <c r="L5" s="6">
        <f>SUBTOTAL(103,$B$55:$B$74)</f>
        <v>20</v>
      </c>
    </row>
    <row r="7" spans="2:17" ht="15" x14ac:dyDescent="0.25">
      <c r="E7" s="7" t="s">
        <v>3</v>
      </c>
    </row>
    <row r="8" spans="2:17" ht="30" customHeight="1" x14ac:dyDescent="0.25">
      <c r="E8" s="8" t="s">
        <v>4</v>
      </c>
      <c r="F8" s="9"/>
      <c r="G8" s="9"/>
      <c r="H8" s="10" t="str">
        <f>IF($L$5=1,INDEX($B$55:$B$74,MATCH(1,$W$55:$W$74,0)),IF($L$5=20,"Mind a 20 megye",$L$5&amp;" megye együtt"))</f>
        <v>Mind a 20 megye</v>
      </c>
      <c r="I8" s="10" t="s">
        <v>5</v>
      </c>
      <c r="J8" s="10" t="s">
        <v>6</v>
      </c>
    </row>
    <row r="9" spans="2:17" x14ac:dyDescent="0.25">
      <c r="E9" s="11" t="s">
        <v>7</v>
      </c>
      <c r="F9" s="9"/>
      <c r="G9" s="9"/>
      <c r="H9" s="12">
        <f>SUBTOTAL(109,$C$55:$C$74)</f>
        <v>52762</v>
      </c>
      <c r="I9" s="13">
        <f>SUM($C$55:$C$74)</f>
        <v>52762</v>
      </c>
      <c r="J9" s="14"/>
    </row>
    <row r="10" spans="2:17" x14ac:dyDescent="0.25">
      <c r="E10" s="11" t="s">
        <v>8</v>
      </c>
      <c r="F10" s="9"/>
      <c r="G10" s="9"/>
      <c r="H10" s="15">
        <f>SUBTOTAL(109,$N$55:$N$74)/SUBTOTAL(109,$C$55:$C$74)</f>
        <v>0.73056366324248512</v>
      </c>
      <c r="I10" s="16">
        <f>SUM($N$55:$N$74)/SUM($C$55:$C$74)</f>
        <v>0.73056366324248512</v>
      </c>
      <c r="J10" s="17">
        <f>(H10-I10)*100</f>
        <v>0</v>
      </c>
    </row>
    <row r="11" spans="2:17" x14ac:dyDescent="0.25">
      <c r="E11" s="11" t="s">
        <v>9</v>
      </c>
      <c r="F11" s="9"/>
      <c r="G11" s="9"/>
      <c r="H11" s="15">
        <f>SUBTOTAL(109,$Q$55:$Q$74)/SUBTOTAL(109,$C$55:$C$74)</f>
        <v>0.51774004018043285</v>
      </c>
      <c r="I11" s="16">
        <f>SUM($Q$55:$Q$74)/SUM($C$55:$C$74)</f>
        <v>0.51774004018043285</v>
      </c>
      <c r="J11" s="17">
        <f>(H11-I11)*100</f>
        <v>0</v>
      </c>
    </row>
    <row r="12" spans="2:17" x14ac:dyDescent="0.25">
      <c r="E12" s="11" t="s">
        <v>10</v>
      </c>
      <c r="F12" s="9"/>
      <c r="G12" s="9"/>
      <c r="H12" s="15">
        <f>SUBTOTAL(109,$Q$55:$Q$74)/SUBTOTAL(109,$N$55:$N$74)</f>
        <v>0.70868572614538472</v>
      </c>
      <c r="I12" s="16">
        <f>SUM($Q$55:$Q$74)/SUM($N$55:$N$74)</f>
        <v>0.70868572614538472</v>
      </c>
      <c r="J12" s="17">
        <f>(H12-I12)*100</f>
        <v>0</v>
      </c>
    </row>
    <row r="13" spans="2:17" x14ac:dyDescent="0.25">
      <c r="E13" s="11" t="s">
        <v>11</v>
      </c>
      <c r="F13" s="9"/>
      <c r="G13" s="9"/>
      <c r="H13" s="18">
        <f>(SUBTOTAL(109,$V$55:$V$74)-(SUBTOTAL(109,$R$55:$R$74)*$N$3+SUBTOTAL(109,$S$55:$S$74)*$O$3+SUBTOTAL(109,$T$55:$T$74)*$P$3+SUBTOTAL(109,$U$55:$U$74)*$Q$3))/SUBTOTAL(109,$C$55:$C$74)*100</f>
        <v>0</v>
      </c>
      <c r="I13" s="17">
        <f>(SUM($V$55:$V$74)-(SUM($R$55:$R$74)*$N$3+SUM($S$55:$S$74)*$O$3+SUM($T$55:$T$74)*$P$3+SUM($U$55:$U$74)*$Q$3))/SUM($C$55:$C$74)*100</f>
        <v>0</v>
      </c>
      <c r="J13" s="14"/>
    </row>
    <row r="14" spans="2:17" x14ac:dyDescent="0.25">
      <c r="E14" s="11" t="s">
        <v>12</v>
      </c>
      <c r="F14" s="9"/>
      <c r="G14" s="9"/>
      <c r="H14" s="19">
        <f>1.96*SQRT(H11*(1-H11)/H9)</f>
        <v>4.2637518997295397E-3</v>
      </c>
      <c r="I14" s="20">
        <f>1.96*SQRT(I11*(1-I11)/I9)</f>
        <v>4.2637518997295397E-3</v>
      </c>
      <c r="J14" s="14"/>
    </row>
    <row r="15" spans="2:17" x14ac:dyDescent="0.25">
      <c r="E15" s="11" t="s">
        <v>13</v>
      </c>
      <c r="F15" s="9"/>
      <c r="G15" s="9"/>
      <c r="H15" s="21" t="str">
        <f>IF($L$5=1,SUMPRODUCT($L$55:$L$74,$W$55:$W$74),"–")</f>
        <v>–</v>
      </c>
      <c r="I15" s="22"/>
      <c r="J15" s="14"/>
    </row>
    <row r="16" spans="2:17" x14ac:dyDescent="0.25">
      <c r="E16" s="11" t="s">
        <v>14</v>
      </c>
      <c r="F16" s="9"/>
      <c r="G16" s="9"/>
      <c r="H16" s="21" t="str">
        <f>IF($L$5=1,SUMPRODUCT($M$55:$M$74,$W$55:$W$74),"–")</f>
        <v>–</v>
      </c>
      <c r="I16" s="22"/>
      <c r="J16" s="14"/>
    </row>
    <row r="18" spans="5:7" ht="15" x14ac:dyDescent="0.25">
      <c r="E18" s="7" t="s">
        <v>15</v>
      </c>
    </row>
    <row r="19" spans="5:7" ht="24" customHeight="1" x14ac:dyDescent="0.25">
      <c r="E19" s="10" t="s">
        <v>16</v>
      </c>
      <c r="F19" s="10" t="str">
        <f>H8</f>
        <v>Mind a 20 megye</v>
      </c>
      <c r="G19" s="10" t="s">
        <v>5</v>
      </c>
    </row>
    <row r="20" spans="5:7" x14ac:dyDescent="0.25">
      <c r="E20" s="23" t="s">
        <v>17</v>
      </c>
      <c r="F20" s="16">
        <f>SUBTOTAL(109,$C$55:$C$74)/SUBTOTAL(109,$C$55:$C$74)</f>
        <v>1</v>
      </c>
      <c r="G20" s="16">
        <f>SUM($C$55:$C$74)/SUM($C$55:$C$74)</f>
        <v>1</v>
      </c>
    </row>
    <row r="21" spans="5:7" x14ac:dyDescent="0.25">
      <c r="E21" s="23" t="s">
        <v>18</v>
      </c>
      <c r="F21" s="16">
        <f>SUBTOTAL(109,$N$55:$N$74)/SUBTOTAL(109,$C$55:$C$74)</f>
        <v>0.73056366324248512</v>
      </c>
      <c r="G21" s="16">
        <f>SUM($N$55:$N$74)/SUM($C$55:$C$74)</f>
        <v>0.73056366324248512</v>
      </c>
    </row>
    <row r="22" spans="5:7" x14ac:dyDescent="0.25">
      <c r="E22" s="23" t="s">
        <v>19</v>
      </c>
      <c r="F22" s="16">
        <f>SUBTOTAL(109,$O$55:$O$74)/SUBTOTAL(109,$C$55:$C$74)</f>
        <v>0.62740229710776696</v>
      </c>
      <c r="G22" s="16">
        <f>SUM($O$55:$O$74)/SUM($C$55:$C$74)</f>
        <v>0.62740229710776696</v>
      </c>
    </row>
    <row r="23" spans="5:7" x14ac:dyDescent="0.25">
      <c r="E23" s="23" t="s">
        <v>20</v>
      </c>
      <c r="F23" s="16">
        <f>SUBTOTAL(109,$P$55:$P$74)/SUBTOTAL(109,$C$55:$C$74)</f>
        <v>0.56400439710397632</v>
      </c>
      <c r="G23" s="16">
        <f>SUM($P$55:$P$74)/SUM($C$55:$C$74)</f>
        <v>0.56400439710397632</v>
      </c>
    </row>
    <row r="24" spans="5:7" x14ac:dyDescent="0.25">
      <c r="E24" s="23" t="s">
        <v>21</v>
      </c>
      <c r="F24" s="16">
        <f>SUBTOTAL(109,$Q$55:$Q$74)/SUBTOTAL(109,$C$55:$C$74)</f>
        <v>0.51774004018043285</v>
      </c>
      <c r="G24" s="16">
        <f>SUM($Q$55:$Q$74)/SUM($C$55:$C$74)</f>
        <v>0.51774004018043285</v>
      </c>
    </row>
    <row r="26" spans="5:7" ht="15" x14ac:dyDescent="0.25">
      <c r="E26" s="7" t="s">
        <v>22</v>
      </c>
    </row>
    <row r="27" spans="5:7" ht="25.2" customHeight="1" x14ac:dyDescent="0.25">
      <c r="E27" s="10" t="s">
        <v>23</v>
      </c>
      <c r="F27" s="10" t="str">
        <f>H8</f>
        <v>Mind a 20 megye</v>
      </c>
      <c r="G27" s="10" t="s">
        <v>5</v>
      </c>
    </row>
    <row r="28" spans="5:7" x14ac:dyDescent="0.25">
      <c r="E28" s="23" t="s">
        <v>24</v>
      </c>
      <c r="F28" s="16">
        <f>SUBTOTAL(109,$R$55:$R$74)/SUBTOTAL(109,$C$55:$C$74)</f>
        <v>0.51756946287100569</v>
      </c>
      <c r="G28" s="16">
        <f>SUM($R$55:$R$74)/SUM($C$55:$C$74)</f>
        <v>0.51756946287100569</v>
      </c>
    </row>
    <row r="29" spans="5:7" x14ac:dyDescent="0.25">
      <c r="E29" s="23" t="s">
        <v>25</v>
      </c>
      <c r="F29" s="16">
        <f>SUBTOTAL(109,$S$55:$S$74)/SUBTOTAL(109,$C$55:$C$74)</f>
        <v>0.17944732951745573</v>
      </c>
      <c r="G29" s="16">
        <f>SUM($S$55:$S$74)/SUM($C$55:$C$74)</f>
        <v>0.17944732951745573</v>
      </c>
    </row>
    <row r="30" spans="5:7" x14ac:dyDescent="0.25">
      <c r="E30" s="23" t="s">
        <v>26</v>
      </c>
      <c r="F30" s="16">
        <f>SUBTOTAL(109,$T$55:$T$74)/SUBTOTAL(109,$C$55:$C$74)</f>
        <v>4.9012546908760092E-2</v>
      </c>
      <c r="G30" s="16">
        <f>SUM($T$55:$T$74)/SUM($C$55:$C$74)</f>
        <v>4.9012546908760092E-2</v>
      </c>
    </row>
    <row r="31" spans="5:7" x14ac:dyDescent="0.25">
      <c r="E31" s="23" t="s">
        <v>27</v>
      </c>
      <c r="F31" s="16">
        <f>SUBTOTAL(109,$U$55:$U$74)/SUBTOTAL(109,$C$55:$C$74)</f>
        <v>0.25397066070277852</v>
      </c>
      <c r="G31" s="16">
        <f>SUM($U$55:$U$74)/SUM($C$55:$C$74)</f>
        <v>0.25397066070277852</v>
      </c>
    </row>
    <row r="52" spans="2:23" ht="15" x14ac:dyDescent="0.25">
      <c r="B52" s="7" t="s">
        <v>28</v>
      </c>
    </row>
    <row r="54" spans="2:23" ht="40.049999999999997" customHeight="1" x14ac:dyDescent="0.25">
      <c r="B54" s="10" t="s">
        <v>29</v>
      </c>
      <c r="C54" s="10" t="s">
        <v>30</v>
      </c>
      <c r="D54" s="10" t="s">
        <v>8</v>
      </c>
      <c r="E54" s="10" t="s">
        <v>9</v>
      </c>
      <c r="F54" s="10" t="s">
        <v>31</v>
      </c>
      <c r="G54" s="10" t="s">
        <v>32</v>
      </c>
      <c r="H54" s="10" t="s">
        <v>33</v>
      </c>
      <c r="I54" s="10" t="s">
        <v>34</v>
      </c>
      <c r="J54" s="10" t="s">
        <v>35</v>
      </c>
      <c r="K54" s="10" t="s">
        <v>36</v>
      </c>
      <c r="L54" s="10" t="s">
        <v>37</v>
      </c>
      <c r="M54" s="10" t="s">
        <v>38</v>
      </c>
      <c r="N54" s="10" t="s">
        <v>39</v>
      </c>
      <c r="O54" s="10" t="s">
        <v>40</v>
      </c>
      <c r="P54" s="10" t="s">
        <v>41</v>
      </c>
      <c r="Q54" s="10" t="s">
        <v>42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47</v>
      </c>
      <c r="W54" s="10" t="s">
        <v>48</v>
      </c>
    </row>
    <row r="55" spans="2:23" x14ac:dyDescent="0.25">
      <c r="B55" s="23" t="s">
        <v>49</v>
      </c>
      <c r="C55" s="13">
        <v>2224</v>
      </c>
      <c r="D55" s="16">
        <f t="shared" ref="D55:D74" si="0">N55/C55</f>
        <v>0.76978417266187049</v>
      </c>
      <c r="E55" s="16">
        <f t="shared" ref="E55:E74" si="1">Q55/C55</f>
        <v>0.53821942446043169</v>
      </c>
      <c r="F55" s="20">
        <f t="shared" ref="F55:F74" si="2">1.96*SQRT(E55*(1-E55)/C55)</f>
        <v>2.0719830293966728E-2</v>
      </c>
      <c r="G55" s="17">
        <f t="shared" ref="G55:G74" si="3">(V55-(R55*$N$3+S55*$O$3+T55*$P$3+U55*$Q$3))/C55*100</f>
        <v>-2.6825984729619536E-2</v>
      </c>
      <c r="H55" s="16">
        <f t="shared" ref="H55:H74" si="4">R55/C55</f>
        <v>0.70053956834532372</v>
      </c>
      <c r="I55" s="16">
        <f t="shared" ref="I55:I74" si="5">S55/C55</f>
        <v>9.9370503597122309E-2</v>
      </c>
      <c r="J55" s="16">
        <f t="shared" ref="J55:J74" si="6">T55/C55</f>
        <v>1.9784172661870502E-2</v>
      </c>
      <c r="K55" s="16">
        <f t="shared" ref="K55:K74" si="7">U55/C55</f>
        <v>0.18030575539568344</v>
      </c>
      <c r="L55" s="24">
        <f t="shared" ref="L55:L74" si="8">RANK(E55,$E$55:$E$74,0)</f>
        <v>9</v>
      </c>
      <c r="M55" s="24">
        <f t="shared" ref="M55:M74" si="9">RANK(G55,$G$55:$G$74,0)</f>
        <v>15</v>
      </c>
      <c r="N55" s="13">
        <v>1712</v>
      </c>
      <c r="O55" s="13">
        <v>1455</v>
      </c>
      <c r="P55" s="13">
        <v>1315</v>
      </c>
      <c r="Q55" s="13">
        <v>1197</v>
      </c>
      <c r="R55" s="13">
        <v>1558</v>
      </c>
      <c r="S55" s="13">
        <v>221</v>
      </c>
      <c r="T55" s="13">
        <v>44</v>
      </c>
      <c r="U55" s="13">
        <v>401</v>
      </c>
      <c r="V55" s="13">
        <v>1153</v>
      </c>
      <c r="W55" s="22">
        <f t="shared" ref="W55:W74" si="10">SUBTOTAL(103,B55)</f>
        <v>1</v>
      </c>
    </row>
    <row r="56" spans="2:23" x14ac:dyDescent="0.25">
      <c r="B56" s="23" t="s">
        <v>50</v>
      </c>
      <c r="C56" s="13">
        <v>2827</v>
      </c>
      <c r="D56" s="16">
        <f t="shared" si="0"/>
        <v>0.67279801910152104</v>
      </c>
      <c r="E56" s="16">
        <f t="shared" si="1"/>
        <v>0.47718429430491688</v>
      </c>
      <c r="F56" s="20">
        <f t="shared" si="2"/>
        <v>1.8412406331309871E-2</v>
      </c>
      <c r="G56" s="17">
        <f t="shared" si="3"/>
        <v>-1.7311140581495716</v>
      </c>
      <c r="H56" s="16">
        <f t="shared" si="4"/>
        <v>0.50088432967810403</v>
      </c>
      <c r="I56" s="16">
        <f t="shared" si="5"/>
        <v>0.13158825610187477</v>
      </c>
      <c r="J56" s="16">
        <f t="shared" si="6"/>
        <v>3.1128404669260701E-2</v>
      </c>
      <c r="K56" s="16">
        <f t="shared" si="7"/>
        <v>0.33639900955076052</v>
      </c>
      <c r="L56" s="24">
        <f t="shared" si="8"/>
        <v>20</v>
      </c>
      <c r="M56" s="24">
        <f t="shared" si="9"/>
        <v>17</v>
      </c>
      <c r="N56" s="13">
        <v>1902</v>
      </c>
      <c r="O56" s="13">
        <v>1655</v>
      </c>
      <c r="P56" s="13">
        <v>1496</v>
      </c>
      <c r="Q56" s="13">
        <v>1349</v>
      </c>
      <c r="R56" s="13">
        <v>1416</v>
      </c>
      <c r="S56" s="13">
        <v>372</v>
      </c>
      <c r="T56" s="13">
        <v>88</v>
      </c>
      <c r="U56" s="13">
        <v>951</v>
      </c>
      <c r="V56" s="13">
        <v>1295</v>
      </c>
      <c r="W56" s="22">
        <f t="shared" si="10"/>
        <v>1</v>
      </c>
    </row>
    <row r="57" spans="2:23" x14ac:dyDescent="0.25">
      <c r="B57" s="23" t="s">
        <v>51</v>
      </c>
      <c r="C57" s="13">
        <v>1868</v>
      </c>
      <c r="D57" s="16">
        <f t="shared" si="0"/>
        <v>0.79014989293361881</v>
      </c>
      <c r="E57" s="16">
        <f t="shared" si="1"/>
        <v>0.54282655246252676</v>
      </c>
      <c r="F57" s="20">
        <f t="shared" si="2"/>
        <v>2.2591167538552896E-2</v>
      </c>
      <c r="G57" s="17">
        <f t="shared" si="3"/>
        <v>0.25569348139683351</v>
      </c>
      <c r="H57" s="16">
        <f t="shared" si="4"/>
        <v>0.48233404710920769</v>
      </c>
      <c r="I57" s="16">
        <f t="shared" si="5"/>
        <v>0.29282655246252676</v>
      </c>
      <c r="J57" s="16">
        <f t="shared" si="6"/>
        <v>3.8543897216274089E-2</v>
      </c>
      <c r="K57" s="16">
        <f t="shared" si="7"/>
        <v>0.18629550321199143</v>
      </c>
      <c r="L57" s="24">
        <f t="shared" si="8"/>
        <v>8</v>
      </c>
      <c r="M57" s="24">
        <f t="shared" si="9"/>
        <v>13</v>
      </c>
      <c r="N57" s="13">
        <v>1476</v>
      </c>
      <c r="O57" s="13">
        <v>1246</v>
      </c>
      <c r="P57" s="13">
        <v>1104</v>
      </c>
      <c r="Q57" s="13">
        <v>1014</v>
      </c>
      <c r="R57" s="13">
        <v>901</v>
      </c>
      <c r="S57" s="13">
        <v>547</v>
      </c>
      <c r="T57" s="13">
        <v>72</v>
      </c>
      <c r="U57" s="13">
        <v>348</v>
      </c>
      <c r="V57" s="13">
        <v>955</v>
      </c>
      <c r="W57" s="22">
        <f t="shared" si="10"/>
        <v>1</v>
      </c>
    </row>
    <row r="58" spans="2:23" x14ac:dyDescent="0.25">
      <c r="B58" s="23" t="s">
        <v>52</v>
      </c>
      <c r="C58" s="13">
        <v>2890</v>
      </c>
      <c r="D58" s="16">
        <f t="shared" si="0"/>
        <v>0.7937716262975778</v>
      </c>
      <c r="E58" s="16">
        <f t="shared" si="1"/>
        <v>0.58408304498269892</v>
      </c>
      <c r="F58" s="20">
        <f t="shared" si="2"/>
        <v>1.7969986969866188E-2</v>
      </c>
      <c r="G58" s="17">
        <f t="shared" si="3"/>
        <v>5.6319965091821373</v>
      </c>
      <c r="H58" s="16">
        <f t="shared" si="4"/>
        <v>0.50519031141868509</v>
      </c>
      <c r="I58" s="16">
        <f t="shared" si="5"/>
        <v>0.25640138408304497</v>
      </c>
      <c r="J58" s="16">
        <f t="shared" si="6"/>
        <v>4.4290657439446365E-2</v>
      </c>
      <c r="K58" s="16">
        <f t="shared" si="7"/>
        <v>0.19411764705882353</v>
      </c>
      <c r="L58" s="24">
        <f t="shared" si="8"/>
        <v>1</v>
      </c>
      <c r="M58" s="24">
        <f t="shared" si="9"/>
        <v>2</v>
      </c>
      <c r="N58" s="13">
        <v>2294</v>
      </c>
      <c r="O58" s="13">
        <v>1997</v>
      </c>
      <c r="P58" s="13">
        <v>1819</v>
      </c>
      <c r="Q58" s="13">
        <v>1688</v>
      </c>
      <c r="R58" s="13">
        <v>1460</v>
      </c>
      <c r="S58" s="13">
        <v>741</v>
      </c>
      <c r="T58" s="13">
        <v>128</v>
      </c>
      <c r="U58" s="13">
        <v>561</v>
      </c>
      <c r="V58" s="13">
        <v>1631</v>
      </c>
      <c r="W58" s="22">
        <f t="shared" si="10"/>
        <v>1</v>
      </c>
    </row>
    <row r="59" spans="2:23" x14ac:dyDescent="0.25">
      <c r="B59" s="23" t="s">
        <v>53</v>
      </c>
      <c r="C59" s="13">
        <v>2112</v>
      </c>
      <c r="D59" s="16">
        <f t="shared" si="0"/>
        <v>0.75710227272727271</v>
      </c>
      <c r="E59" s="16">
        <f t="shared" si="1"/>
        <v>0.53077651515151514</v>
      </c>
      <c r="F59" s="20">
        <f t="shared" si="2"/>
        <v>2.1284077621873992E-2</v>
      </c>
      <c r="G59" s="17">
        <f t="shared" si="3"/>
        <v>0.4871534875429499</v>
      </c>
      <c r="H59" s="16">
        <f t="shared" si="4"/>
        <v>0.61410984848484851</v>
      </c>
      <c r="I59" s="16">
        <f t="shared" si="5"/>
        <v>0.16287878787878787</v>
      </c>
      <c r="J59" s="16">
        <f t="shared" si="6"/>
        <v>2.130681818181818E-2</v>
      </c>
      <c r="K59" s="16">
        <f t="shared" si="7"/>
        <v>0.20170454545454544</v>
      </c>
      <c r="L59" s="24">
        <f t="shared" si="8"/>
        <v>11</v>
      </c>
      <c r="M59" s="24">
        <f t="shared" si="9"/>
        <v>12</v>
      </c>
      <c r="N59" s="13">
        <v>1599</v>
      </c>
      <c r="O59" s="13">
        <v>1376</v>
      </c>
      <c r="P59" s="13">
        <v>1245</v>
      </c>
      <c r="Q59" s="13">
        <v>1121</v>
      </c>
      <c r="R59" s="13">
        <v>1297</v>
      </c>
      <c r="S59" s="13">
        <v>344</v>
      </c>
      <c r="T59" s="13">
        <v>45</v>
      </c>
      <c r="U59" s="13">
        <v>426</v>
      </c>
      <c r="V59" s="13">
        <v>1088</v>
      </c>
      <c r="W59" s="22">
        <f t="shared" si="10"/>
        <v>1</v>
      </c>
    </row>
    <row r="60" spans="2:23" x14ac:dyDescent="0.25">
      <c r="B60" s="23" t="s">
        <v>54</v>
      </c>
      <c r="C60" s="13">
        <v>2089</v>
      </c>
      <c r="D60" s="16">
        <f t="shared" si="0"/>
        <v>0.74868358066060314</v>
      </c>
      <c r="E60" s="16">
        <f t="shared" si="1"/>
        <v>0.5270464337003351</v>
      </c>
      <c r="F60" s="20">
        <f t="shared" si="2"/>
        <v>2.1410191074898551E-2</v>
      </c>
      <c r="G60" s="17">
        <f t="shared" si="3"/>
        <v>1.5845010789361533</v>
      </c>
      <c r="H60" s="16">
        <f t="shared" si="4"/>
        <v>0.35088559119195789</v>
      </c>
      <c r="I60" s="16">
        <f t="shared" si="5"/>
        <v>0.33939684059358544</v>
      </c>
      <c r="J60" s="16">
        <f t="shared" si="6"/>
        <v>3.0636668262326472E-2</v>
      </c>
      <c r="K60" s="16">
        <f t="shared" si="7"/>
        <v>0.2790808999521302</v>
      </c>
      <c r="L60" s="24">
        <f t="shared" si="8"/>
        <v>12</v>
      </c>
      <c r="M60" s="24">
        <f t="shared" si="9"/>
        <v>8</v>
      </c>
      <c r="N60" s="13">
        <v>1564</v>
      </c>
      <c r="O60" s="13">
        <v>1337</v>
      </c>
      <c r="P60" s="13">
        <v>1202</v>
      </c>
      <c r="Q60" s="13">
        <v>1101</v>
      </c>
      <c r="R60" s="13">
        <v>733</v>
      </c>
      <c r="S60" s="13">
        <v>709</v>
      </c>
      <c r="T60" s="13">
        <v>64</v>
      </c>
      <c r="U60" s="13">
        <v>583</v>
      </c>
      <c r="V60" s="13">
        <v>1040</v>
      </c>
      <c r="W60" s="22">
        <f t="shared" si="10"/>
        <v>1</v>
      </c>
    </row>
    <row r="61" spans="2:23" x14ac:dyDescent="0.25">
      <c r="B61" s="23" t="s">
        <v>55</v>
      </c>
      <c r="C61" s="13">
        <v>2626</v>
      </c>
      <c r="D61" s="16">
        <f t="shared" si="0"/>
        <v>0.73495811119573495</v>
      </c>
      <c r="E61" s="16">
        <f t="shared" si="1"/>
        <v>0.55026656511805028</v>
      </c>
      <c r="F61" s="20">
        <f t="shared" si="2"/>
        <v>1.9027111408056307E-2</v>
      </c>
      <c r="G61" s="17">
        <f t="shared" si="3"/>
        <v>4.1256521272623639</v>
      </c>
      <c r="H61" s="16">
        <f t="shared" si="4"/>
        <v>0.42764661081492766</v>
      </c>
      <c r="I61" s="16">
        <f t="shared" si="5"/>
        <v>0.18202589489718202</v>
      </c>
      <c r="J61" s="16">
        <f t="shared" si="6"/>
        <v>0.10015232292460015</v>
      </c>
      <c r="K61" s="16">
        <f t="shared" si="7"/>
        <v>0.29017517136329019</v>
      </c>
      <c r="L61" s="24">
        <f t="shared" si="8"/>
        <v>4</v>
      </c>
      <c r="M61" s="24">
        <f t="shared" si="9"/>
        <v>4</v>
      </c>
      <c r="N61" s="13">
        <v>1930</v>
      </c>
      <c r="O61" s="13">
        <v>1709</v>
      </c>
      <c r="P61" s="13">
        <v>1562</v>
      </c>
      <c r="Q61" s="13">
        <v>1445</v>
      </c>
      <c r="R61" s="13">
        <v>1123</v>
      </c>
      <c r="S61" s="13">
        <v>478</v>
      </c>
      <c r="T61" s="13">
        <v>263</v>
      </c>
      <c r="U61" s="13">
        <v>762</v>
      </c>
      <c r="V61" s="13">
        <v>1381</v>
      </c>
      <c r="W61" s="22">
        <f t="shared" si="10"/>
        <v>1</v>
      </c>
    </row>
    <row r="62" spans="2:23" x14ac:dyDescent="0.25">
      <c r="B62" s="23" t="s">
        <v>56</v>
      </c>
      <c r="C62" s="13">
        <v>2878</v>
      </c>
      <c r="D62" s="16">
        <f t="shared" si="0"/>
        <v>0.71264767199444057</v>
      </c>
      <c r="E62" s="16">
        <f t="shared" si="1"/>
        <v>0.50347463516330782</v>
      </c>
      <c r="F62" s="20">
        <f t="shared" si="2"/>
        <v>1.8267124725388703E-2</v>
      </c>
      <c r="G62" s="17">
        <f t="shared" si="3"/>
        <v>-2.3652589917374232</v>
      </c>
      <c r="H62" s="16">
        <f t="shared" si="4"/>
        <v>0.62126476719944401</v>
      </c>
      <c r="I62" s="16">
        <f t="shared" si="5"/>
        <v>0.13481584433634469</v>
      </c>
      <c r="J62" s="16">
        <f t="shared" si="6"/>
        <v>2.4322446143154968E-2</v>
      </c>
      <c r="K62" s="16">
        <f t="shared" si="7"/>
        <v>0.21959694232105628</v>
      </c>
      <c r="L62" s="24">
        <f t="shared" si="8"/>
        <v>16</v>
      </c>
      <c r="M62" s="24">
        <f t="shared" si="9"/>
        <v>18</v>
      </c>
      <c r="N62" s="13">
        <v>2051</v>
      </c>
      <c r="O62" s="13">
        <v>1768</v>
      </c>
      <c r="P62" s="13">
        <v>1574</v>
      </c>
      <c r="Q62" s="13">
        <v>1449</v>
      </c>
      <c r="R62" s="13">
        <v>1788</v>
      </c>
      <c r="S62" s="13">
        <v>388</v>
      </c>
      <c r="T62" s="13">
        <v>70</v>
      </c>
      <c r="U62" s="13">
        <v>632</v>
      </c>
      <c r="V62" s="13">
        <v>1390</v>
      </c>
      <c r="W62" s="22">
        <f t="shared" si="10"/>
        <v>1</v>
      </c>
    </row>
    <row r="63" spans="2:23" x14ac:dyDescent="0.25">
      <c r="B63" s="23" t="s">
        <v>57</v>
      </c>
      <c r="C63" s="13">
        <v>1770</v>
      </c>
      <c r="D63" s="16">
        <f t="shared" si="0"/>
        <v>0.70282485875706213</v>
      </c>
      <c r="E63" s="16">
        <f t="shared" si="1"/>
        <v>0.4937853107344633</v>
      </c>
      <c r="F63" s="20">
        <f t="shared" si="2"/>
        <v>2.3291952349580501E-2</v>
      </c>
      <c r="G63" s="17">
        <f t="shared" si="3"/>
        <v>-1.188593996128958</v>
      </c>
      <c r="H63" s="16">
        <f t="shared" si="4"/>
        <v>0.49830508474576274</v>
      </c>
      <c r="I63" s="16">
        <f t="shared" si="5"/>
        <v>0.10621468926553672</v>
      </c>
      <c r="J63" s="16">
        <f t="shared" si="6"/>
        <v>7.1186440677966104E-2</v>
      </c>
      <c r="K63" s="16">
        <f t="shared" si="7"/>
        <v>0.32429378531073444</v>
      </c>
      <c r="L63" s="24">
        <f t="shared" si="8"/>
        <v>17</v>
      </c>
      <c r="M63" s="24">
        <f t="shared" si="9"/>
        <v>16</v>
      </c>
      <c r="N63" s="13">
        <v>1244</v>
      </c>
      <c r="O63" s="13">
        <v>1063</v>
      </c>
      <c r="P63" s="13">
        <v>966</v>
      </c>
      <c r="Q63" s="13">
        <v>874</v>
      </c>
      <c r="R63" s="13">
        <v>882</v>
      </c>
      <c r="S63" s="13">
        <v>188</v>
      </c>
      <c r="T63" s="13">
        <v>126</v>
      </c>
      <c r="U63" s="13">
        <v>574</v>
      </c>
      <c r="V63" s="13">
        <v>827</v>
      </c>
      <c r="W63" s="22">
        <f t="shared" si="10"/>
        <v>1</v>
      </c>
    </row>
    <row r="64" spans="2:23" x14ac:dyDescent="0.25">
      <c r="B64" s="23" t="s">
        <v>58</v>
      </c>
      <c r="C64" s="13">
        <v>1568</v>
      </c>
      <c r="D64" s="16">
        <f t="shared" si="0"/>
        <v>0.76211734693877553</v>
      </c>
      <c r="E64" s="16">
        <f t="shared" si="1"/>
        <v>0.54655612244897955</v>
      </c>
      <c r="F64" s="20">
        <f t="shared" si="2"/>
        <v>2.4641219374924677E-2</v>
      </c>
      <c r="G64" s="17">
        <f t="shared" si="3"/>
        <v>2.7142005567588936</v>
      </c>
      <c r="H64" s="16">
        <f t="shared" si="4"/>
        <v>0.44770408163265307</v>
      </c>
      <c r="I64" s="16">
        <f t="shared" si="5"/>
        <v>0.21938775510204081</v>
      </c>
      <c r="J64" s="16">
        <f t="shared" si="6"/>
        <v>7.9719387755102039E-2</v>
      </c>
      <c r="K64" s="16">
        <f t="shared" si="7"/>
        <v>0.25318877551020408</v>
      </c>
      <c r="L64" s="24">
        <f t="shared" si="8"/>
        <v>6</v>
      </c>
      <c r="M64" s="24">
        <f t="shared" si="9"/>
        <v>6</v>
      </c>
      <c r="N64" s="13">
        <v>1195</v>
      </c>
      <c r="O64" s="13">
        <v>1046</v>
      </c>
      <c r="P64" s="13">
        <v>941</v>
      </c>
      <c r="Q64" s="13">
        <v>857</v>
      </c>
      <c r="R64" s="13">
        <v>702</v>
      </c>
      <c r="S64" s="13">
        <v>344</v>
      </c>
      <c r="T64" s="13">
        <v>125</v>
      </c>
      <c r="U64" s="13">
        <v>397</v>
      </c>
      <c r="V64" s="13">
        <v>816</v>
      </c>
      <c r="W64" s="22">
        <f t="shared" si="10"/>
        <v>1</v>
      </c>
    </row>
    <row r="65" spans="2:23" x14ac:dyDescent="0.25">
      <c r="B65" s="23" t="s">
        <v>59</v>
      </c>
      <c r="C65" s="13">
        <v>1016</v>
      </c>
      <c r="D65" s="16">
        <f t="shared" si="0"/>
        <v>0.75295275590551181</v>
      </c>
      <c r="E65" s="16">
        <f t="shared" si="1"/>
        <v>0.50787401574803148</v>
      </c>
      <c r="F65" s="20">
        <f t="shared" si="2"/>
        <v>3.0741521786272499E-2</v>
      </c>
      <c r="G65" s="17">
        <f t="shared" si="3"/>
        <v>0.8747944179400805</v>
      </c>
      <c r="H65" s="16">
        <f t="shared" si="4"/>
        <v>0.53149606299212604</v>
      </c>
      <c r="I65" s="16">
        <f t="shared" si="5"/>
        <v>0.13681102362204725</v>
      </c>
      <c r="J65" s="16">
        <f t="shared" si="6"/>
        <v>2.952755905511811E-2</v>
      </c>
      <c r="K65" s="16">
        <f t="shared" si="7"/>
        <v>0.30216535433070868</v>
      </c>
      <c r="L65" s="24">
        <f t="shared" si="8"/>
        <v>15</v>
      </c>
      <c r="M65" s="24">
        <f t="shared" si="9"/>
        <v>11</v>
      </c>
      <c r="N65" s="13">
        <v>765</v>
      </c>
      <c r="O65" s="13">
        <v>639</v>
      </c>
      <c r="P65" s="13">
        <v>569</v>
      </c>
      <c r="Q65" s="13">
        <v>516</v>
      </c>
      <c r="R65" s="13">
        <v>540</v>
      </c>
      <c r="S65" s="13">
        <v>139</v>
      </c>
      <c r="T65" s="13">
        <v>30</v>
      </c>
      <c r="U65" s="13">
        <v>307</v>
      </c>
      <c r="V65" s="13">
        <v>501</v>
      </c>
      <c r="W65" s="22">
        <f t="shared" si="10"/>
        <v>1</v>
      </c>
    </row>
    <row r="66" spans="2:23" x14ac:dyDescent="0.25">
      <c r="B66" s="23" t="s">
        <v>60</v>
      </c>
      <c r="C66" s="13">
        <v>7086</v>
      </c>
      <c r="D66" s="16">
        <f t="shared" si="0"/>
        <v>0.71013265594129271</v>
      </c>
      <c r="E66" s="16">
        <f t="shared" si="1"/>
        <v>0.49139147615015522</v>
      </c>
      <c r="F66" s="20">
        <f t="shared" si="2"/>
        <v>1.1640218267310234E-2</v>
      </c>
      <c r="G66" s="17">
        <f t="shared" si="3"/>
        <v>-2.7684772013525154</v>
      </c>
      <c r="H66" s="16">
        <f t="shared" si="4"/>
        <v>0.53951453570420549</v>
      </c>
      <c r="I66" s="16">
        <f t="shared" si="5"/>
        <v>0.16229184307084391</v>
      </c>
      <c r="J66" s="16">
        <f t="shared" si="6"/>
        <v>5.6308213378492802E-2</v>
      </c>
      <c r="K66" s="16">
        <f t="shared" si="7"/>
        <v>0.24188540784645782</v>
      </c>
      <c r="L66" s="24">
        <f t="shared" si="8"/>
        <v>18</v>
      </c>
      <c r="M66" s="24">
        <f t="shared" si="9"/>
        <v>19</v>
      </c>
      <c r="N66" s="13">
        <v>5032</v>
      </c>
      <c r="O66" s="13">
        <v>4263</v>
      </c>
      <c r="P66" s="13">
        <v>3801</v>
      </c>
      <c r="Q66" s="13">
        <v>3482</v>
      </c>
      <c r="R66" s="13">
        <v>3823</v>
      </c>
      <c r="S66" s="13">
        <v>1150</v>
      </c>
      <c r="T66" s="13">
        <v>399</v>
      </c>
      <c r="U66" s="13">
        <v>1714</v>
      </c>
      <c r="V66" s="13">
        <v>3340</v>
      </c>
      <c r="W66" s="22">
        <f t="shared" si="10"/>
        <v>1</v>
      </c>
    </row>
    <row r="67" spans="2:23" x14ac:dyDescent="0.25">
      <c r="B67" s="23" t="s">
        <v>61</v>
      </c>
      <c r="C67" s="13">
        <v>1729</v>
      </c>
      <c r="D67" s="16">
        <f t="shared" si="0"/>
        <v>0.71486408328513595</v>
      </c>
      <c r="E67" s="16">
        <f t="shared" si="1"/>
        <v>0.51532677848467323</v>
      </c>
      <c r="F67" s="20">
        <f t="shared" si="2"/>
        <v>2.3557241966157903E-2</v>
      </c>
      <c r="G67" s="17">
        <f t="shared" si="3"/>
        <v>7.3814899585546531E-2</v>
      </c>
      <c r="H67" s="16">
        <f t="shared" si="4"/>
        <v>0.52689415847310583</v>
      </c>
      <c r="I67" s="16">
        <f t="shared" si="5"/>
        <v>0.17987275882012724</v>
      </c>
      <c r="J67" s="16">
        <f t="shared" si="6"/>
        <v>4.9161364950838636E-2</v>
      </c>
      <c r="K67" s="16">
        <f t="shared" si="7"/>
        <v>0.24407171775592829</v>
      </c>
      <c r="L67" s="24">
        <f t="shared" si="8"/>
        <v>14</v>
      </c>
      <c r="M67" s="24">
        <f t="shared" si="9"/>
        <v>14</v>
      </c>
      <c r="N67" s="13">
        <v>1236</v>
      </c>
      <c r="O67" s="13">
        <v>1083</v>
      </c>
      <c r="P67" s="13">
        <v>973</v>
      </c>
      <c r="Q67" s="13">
        <v>891</v>
      </c>
      <c r="R67" s="13">
        <v>911</v>
      </c>
      <c r="S67" s="13">
        <v>311</v>
      </c>
      <c r="T67" s="13">
        <v>85</v>
      </c>
      <c r="U67" s="13">
        <v>422</v>
      </c>
      <c r="V67" s="13">
        <v>862</v>
      </c>
      <c r="W67" s="22">
        <f t="shared" si="10"/>
        <v>1</v>
      </c>
    </row>
    <row r="68" spans="2:23" x14ac:dyDescent="0.25">
      <c r="B68" s="23" t="s">
        <v>62</v>
      </c>
      <c r="C68" s="13">
        <v>2754</v>
      </c>
      <c r="D68" s="16">
        <f t="shared" si="0"/>
        <v>0.74872912127814084</v>
      </c>
      <c r="E68" s="16">
        <f t="shared" si="1"/>
        <v>0.55083514887436458</v>
      </c>
      <c r="F68" s="20">
        <f t="shared" si="2"/>
        <v>1.8577523001052657E-2</v>
      </c>
      <c r="G68" s="17">
        <f t="shared" si="3"/>
        <v>2.8752225549546018</v>
      </c>
      <c r="H68" s="16">
        <f t="shared" si="4"/>
        <v>0.44843863471314449</v>
      </c>
      <c r="I68" s="16">
        <f t="shared" si="5"/>
        <v>0.29012345679012347</v>
      </c>
      <c r="J68" s="16">
        <f t="shared" si="6"/>
        <v>5.0835148874364564E-2</v>
      </c>
      <c r="K68" s="16">
        <f t="shared" si="7"/>
        <v>0.21060275962236746</v>
      </c>
      <c r="L68" s="24">
        <f t="shared" si="8"/>
        <v>3</v>
      </c>
      <c r="M68" s="24">
        <f t="shared" si="9"/>
        <v>5</v>
      </c>
      <c r="N68" s="13">
        <v>2062</v>
      </c>
      <c r="O68" s="13">
        <v>1806</v>
      </c>
      <c r="P68" s="13">
        <v>1627</v>
      </c>
      <c r="Q68" s="13">
        <v>1517</v>
      </c>
      <c r="R68" s="13">
        <v>1235</v>
      </c>
      <c r="S68" s="13">
        <v>799</v>
      </c>
      <c r="T68" s="13">
        <v>140</v>
      </c>
      <c r="U68" s="13">
        <v>580</v>
      </c>
      <c r="V68" s="13">
        <v>1462</v>
      </c>
      <c r="W68" s="22">
        <f t="shared" si="10"/>
        <v>1</v>
      </c>
    </row>
    <row r="69" spans="2:23" x14ac:dyDescent="0.25">
      <c r="B69" s="23" t="s">
        <v>63</v>
      </c>
      <c r="C69" s="13">
        <v>1943</v>
      </c>
      <c r="D69" s="16">
        <f t="shared" si="0"/>
        <v>0.74163664436438492</v>
      </c>
      <c r="E69" s="16">
        <f t="shared" si="1"/>
        <v>0.52702007205352552</v>
      </c>
      <c r="F69" s="20">
        <f t="shared" si="2"/>
        <v>2.2200083322478172E-2</v>
      </c>
      <c r="G69" s="17">
        <f t="shared" si="3"/>
        <v>1.0607007325184215</v>
      </c>
      <c r="H69" s="16">
        <f t="shared" si="4"/>
        <v>0.52393206381883684</v>
      </c>
      <c r="I69" s="16">
        <f t="shared" si="5"/>
        <v>0.14307771487390633</v>
      </c>
      <c r="J69" s="16">
        <f t="shared" si="6"/>
        <v>3.860010293360782E-2</v>
      </c>
      <c r="K69" s="16">
        <f t="shared" si="7"/>
        <v>0.29439011837364898</v>
      </c>
      <c r="L69" s="24">
        <f t="shared" si="8"/>
        <v>13</v>
      </c>
      <c r="M69" s="24">
        <f t="shared" si="9"/>
        <v>10</v>
      </c>
      <c r="N69" s="13">
        <v>1441</v>
      </c>
      <c r="O69" s="13">
        <v>1246</v>
      </c>
      <c r="P69" s="13">
        <v>1112</v>
      </c>
      <c r="Q69" s="13">
        <v>1024</v>
      </c>
      <c r="R69" s="13">
        <v>1018</v>
      </c>
      <c r="S69" s="13">
        <v>278</v>
      </c>
      <c r="T69" s="13">
        <v>75</v>
      </c>
      <c r="U69" s="13">
        <v>572</v>
      </c>
      <c r="V69" s="13">
        <v>965</v>
      </c>
      <c r="W69" s="22">
        <f t="shared" si="10"/>
        <v>1</v>
      </c>
    </row>
    <row r="70" spans="2:23" x14ac:dyDescent="0.25">
      <c r="B70" s="23" t="s">
        <v>64</v>
      </c>
      <c r="C70" s="13">
        <v>1158</v>
      </c>
      <c r="D70" s="16">
        <f t="shared" si="0"/>
        <v>0.7590673575129534</v>
      </c>
      <c r="E70" s="16">
        <f t="shared" si="1"/>
        <v>0.55008635578583764</v>
      </c>
      <c r="F70" s="20">
        <f t="shared" si="2"/>
        <v>2.8653772608968637E-2</v>
      </c>
      <c r="G70" s="17">
        <f t="shared" si="3"/>
        <v>1.6145494177711346</v>
      </c>
      <c r="H70" s="16">
        <f t="shared" si="4"/>
        <v>0.50345423143350609</v>
      </c>
      <c r="I70" s="16">
        <f t="shared" si="5"/>
        <v>0.29533678756476683</v>
      </c>
      <c r="J70" s="16">
        <f t="shared" si="6"/>
        <v>2.5043177892918825E-2</v>
      </c>
      <c r="K70" s="16">
        <f t="shared" si="7"/>
        <v>0.17616580310880828</v>
      </c>
      <c r="L70" s="24">
        <f t="shared" si="8"/>
        <v>5</v>
      </c>
      <c r="M70" s="24">
        <f t="shared" si="9"/>
        <v>7</v>
      </c>
      <c r="N70" s="13">
        <v>879</v>
      </c>
      <c r="O70" s="13">
        <v>752</v>
      </c>
      <c r="P70" s="13">
        <v>678</v>
      </c>
      <c r="Q70" s="13">
        <v>637</v>
      </c>
      <c r="R70" s="13">
        <v>583</v>
      </c>
      <c r="S70" s="13">
        <v>342</v>
      </c>
      <c r="T70" s="13">
        <v>29</v>
      </c>
      <c r="U70" s="13">
        <v>204</v>
      </c>
      <c r="V70" s="13">
        <v>611</v>
      </c>
      <c r="W70" s="22">
        <f t="shared" si="10"/>
        <v>1</v>
      </c>
    </row>
    <row r="71" spans="2:23" x14ac:dyDescent="0.25">
      <c r="B71" s="23" t="s">
        <v>65</v>
      </c>
      <c r="C71" s="13">
        <v>1415</v>
      </c>
      <c r="D71" s="16">
        <f t="shared" si="0"/>
        <v>0.74275618374558305</v>
      </c>
      <c r="E71" s="16">
        <f t="shared" si="1"/>
        <v>0.54346289752650179</v>
      </c>
      <c r="F71" s="20">
        <f t="shared" si="2"/>
        <v>2.5953793236664108E-2</v>
      </c>
      <c r="G71" s="17">
        <f t="shared" si="3"/>
        <v>5.2201350423093391</v>
      </c>
      <c r="H71" s="16">
        <f t="shared" si="4"/>
        <v>0.42402826855123676</v>
      </c>
      <c r="I71" s="16">
        <f t="shared" si="5"/>
        <v>0.19929328621908127</v>
      </c>
      <c r="J71" s="16">
        <f t="shared" si="6"/>
        <v>2.2614840989399292E-2</v>
      </c>
      <c r="K71" s="16">
        <f t="shared" si="7"/>
        <v>0.35406360424028266</v>
      </c>
      <c r="L71" s="24">
        <f t="shared" si="8"/>
        <v>7</v>
      </c>
      <c r="M71" s="24">
        <f t="shared" si="9"/>
        <v>3</v>
      </c>
      <c r="N71" s="13">
        <v>1051</v>
      </c>
      <c r="O71" s="13">
        <v>932</v>
      </c>
      <c r="P71" s="13">
        <v>839</v>
      </c>
      <c r="Q71" s="13">
        <v>769</v>
      </c>
      <c r="R71" s="13">
        <v>600</v>
      </c>
      <c r="S71" s="13">
        <v>282</v>
      </c>
      <c r="T71" s="13">
        <v>32</v>
      </c>
      <c r="U71" s="13">
        <v>501</v>
      </c>
      <c r="V71" s="13">
        <v>736</v>
      </c>
      <c r="W71" s="22">
        <f t="shared" si="10"/>
        <v>1</v>
      </c>
    </row>
    <row r="72" spans="2:23" x14ac:dyDescent="0.25">
      <c r="B72" s="23" t="s">
        <v>66</v>
      </c>
      <c r="C72" s="13">
        <v>1807</v>
      </c>
      <c r="D72" s="16">
        <f t="shared" si="0"/>
        <v>0.73049252905368012</v>
      </c>
      <c r="E72" s="16">
        <f t="shared" si="1"/>
        <v>0.53237410071942448</v>
      </c>
      <c r="F72" s="20">
        <f t="shared" si="2"/>
        <v>2.3005661903405968E-2</v>
      </c>
      <c r="G72" s="17">
        <f t="shared" si="3"/>
        <v>1.4494091326103025</v>
      </c>
      <c r="H72" s="16">
        <f t="shared" si="4"/>
        <v>0.53458771444382958</v>
      </c>
      <c r="I72" s="16">
        <f t="shared" si="5"/>
        <v>0.14056447149972329</v>
      </c>
      <c r="J72" s="16">
        <f t="shared" si="6"/>
        <v>5.2573325954620921E-2</v>
      </c>
      <c r="K72" s="16">
        <f t="shared" si="7"/>
        <v>0.27227448810182625</v>
      </c>
      <c r="L72" s="24">
        <f t="shared" si="8"/>
        <v>10</v>
      </c>
      <c r="M72" s="24">
        <f t="shared" si="9"/>
        <v>9</v>
      </c>
      <c r="N72" s="13">
        <v>1320</v>
      </c>
      <c r="O72" s="13">
        <v>1135</v>
      </c>
      <c r="P72" s="13">
        <v>1035</v>
      </c>
      <c r="Q72" s="13">
        <v>962</v>
      </c>
      <c r="R72" s="13">
        <v>966</v>
      </c>
      <c r="S72" s="13">
        <v>254</v>
      </c>
      <c r="T72" s="13">
        <v>95</v>
      </c>
      <c r="U72" s="13">
        <v>492</v>
      </c>
      <c r="V72" s="13">
        <v>915</v>
      </c>
      <c r="W72" s="22">
        <f t="shared" si="10"/>
        <v>1</v>
      </c>
    </row>
    <row r="73" spans="2:23" x14ac:dyDescent="0.25">
      <c r="B73" s="23" t="s">
        <v>67</v>
      </c>
      <c r="C73" s="13">
        <v>1591</v>
      </c>
      <c r="D73" s="16">
        <f t="shared" si="0"/>
        <v>0.74167190446260212</v>
      </c>
      <c r="E73" s="16">
        <f t="shared" si="1"/>
        <v>0.55248271527341297</v>
      </c>
      <c r="F73" s="20">
        <f t="shared" si="2"/>
        <v>2.4433474901502085E-2</v>
      </c>
      <c r="G73" s="17">
        <f t="shared" si="3"/>
        <v>6.2132030473101274</v>
      </c>
      <c r="H73" s="16">
        <f t="shared" si="4"/>
        <v>0.42363293526084222</v>
      </c>
      <c r="I73" s="16">
        <f t="shared" si="5"/>
        <v>0.13324952859836581</v>
      </c>
      <c r="J73" s="16">
        <f t="shared" si="6"/>
        <v>7.8566939032055305E-2</v>
      </c>
      <c r="K73" s="16">
        <f t="shared" si="7"/>
        <v>0.36455059710873666</v>
      </c>
      <c r="L73" s="24">
        <f t="shared" si="8"/>
        <v>2</v>
      </c>
      <c r="M73" s="24">
        <f t="shared" si="9"/>
        <v>1</v>
      </c>
      <c r="N73" s="13">
        <v>1180</v>
      </c>
      <c r="O73" s="13">
        <v>1047</v>
      </c>
      <c r="P73" s="13">
        <v>953</v>
      </c>
      <c r="Q73" s="13">
        <v>879</v>
      </c>
      <c r="R73" s="13">
        <v>674</v>
      </c>
      <c r="S73" s="13">
        <v>212</v>
      </c>
      <c r="T73" s="13">
        <v>125</v>
      </c>
      <c r="U73" s="13">
        <v>580</v>
      </c>
      <c r="V73" s="13">
        <v>842</v>
      </c>
      <c r="W73" s="22">
        <f t="shared" si="10"/>
        <v>1</v>
      </c>
    </row>
    <row r="74" spans="2:23" x14ac:dyDescent="0.25">
      <c r="B74" s="23" t="s">
        <v>68</v>
      </c>
      <c r="C74" s="13">
        <v>9411</v>
      </c>
      <c r="D74" s="16">
        <f t="shared" si="0"/>
        <v>0.70268834342790354</v>
      </c>
      <c r="E74" s="16">
        <f t="shared" si="1"/>
        <v>0.48294548932100734</v>
      </c>
      <c r="F74" s="20">
        <f t="shared" si="2"/>
        <v>1.0096141002882147E-2</v>
      </c>
      <c r="G74" s="17">
        <f t="shared" si="3"/>
        <v>-3.7676121317783013</v>
      </c>
      <c r="H74" s="16">
        <f t="shared" si="4"/>
        <v>0.54170651365423439</v>
      </c>
      <c r="I74" s="16">
        <f t="shared" si="5"/>
        <v>0.14546806928062905</v>
      </c>
      <c r="J74" s="16">
        <f t="shared" si="6"/>
        <v>5.8548507066199129E-2</v>
      </c>
      <c r="K74" s="16">
        <f t="shared" si="7"/>
        <v>0.25427690999893743</v>
      </c>
      <c r="L74" s="24">
        <f t="shared" si="8"/>
        <v>19</v>
      </c>
      <c r="M74" s="24">
        <f t="shared" si="9"/>
        <v>20</v>
      </c>
      <c r="N74" s="13">
        <v>6613</v>
      </c>
      <c r="O74" s="13">
        <v>5548</v>
      </c>
      <c r="P74" s="13">
        <v>4947</v>
      </c>
      <c r="Q74" s="13">
        <v>4545</v>
      </c>
      <c r="R74" s="13">
        <v>5098</v>
      </c>
      <c r="S74" s="13">
        <v>1369</v>
      </c>
      <c r="T74" s="13">
        <v>551</v>
      </c>
      <c r="U74" s="13">
        <v>2393</v>
      </c>
      <c r="V74" s="13">
        <v>4317</v>
      </c>
      <c r="W74" s="22">
        <f t="shared" si="10"/>
        <v>1</v>
      </c>
    </row>
    <row r="76" spans="2:23" x14ac:dyDescent="0.25">
      <c r="B76" s="25" t="s">
        <v>69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</row>
    <row r="77" spans="2:23" x14ac:dyDescent="0.25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2:23" x14ac:dyDescent="0.25">
      <c r="B78" s="25" t="s">
        <v>70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</row>
    <row r="79" spans="2:23" x14ac:dyDescent="0.25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</row>
  </sheetData>
  <mergeCells count="11">
    <mergeCell ref="E8:G8"/>
    <mergeCell ref="B76:M77"/>
    <mergeCell ref="E9:G9"/>
    <mergeCell ref="E10:G10"/>
    <mergeCell ref="E13:G13"/>
    <mergeCell ref="E16:G16"/>
    <mergeCell ref="B78:M79"/>
    <mergeCell ref="E11:G11"/>
    <mergeCell ref="E14:G14"/>
    <mergeCell ref="E12:G12"/>
    <mergeCell ref="E15:G15"/>
  </mergeCells>
  <conditionalFormatting sqref="G55:G74">
    <cfRule type="colorScale" priority="1">
      <colorScale>
        <cfvo type="num" val="-6"/>
        <cfvo type="num" val="0"/>
        <cfvo type="num" val="6"/>
        <color rgb="FFF2A3A2"/>
        <color rgb="FFFFFFFF"/>
        <color rgb="FF9EC5F4"/>
      </colorScale>
    </cfRule>
  </conditionalFormatting>
  <pageMargins left="0.75" right="0.75" top="1" bottom="1" header="0.5" footer="0.5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Megyei nézet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Komka Ida</cp:lastModifiedBy>
  <dcterms:created xsi:type="dcterms:W3CDTF">2026-10-15T08:14:08Z</dcterms:created>
  <dcterms:modified xsi:type="dcterms:W3CDTF">2026-10-15T08:29:56Z</dcterms:modified>
</cp:coreProperties>
</file>